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80" yWindow="0" windowWidth="25360" windowHeight="1530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B62" i="1" l="1"/>
  <c r="B213" i="1"/>
  <c r="B218" i="1"/>
  <c r="B215" i="1"/>
  <c r="B202" i="1"/>
  <c r="B203" i="1"/>
  <c r="B204" i="1"/>
  <c r="C191" i="1"/>
  <c r="C192" i="1"/>
  <c r="C193" i="1"/>
  <c r="C194" i="1"/>
  <c r="C195" i="1"/>
  <c r="C196" i="1"/>
  <c r="C197" i="1"/>
  <c r="C198" i="1"/>
  <c r="B183" i="1"/>
  <c r="E165" i="1"/>
  <c r="G165" i="1"/>
  <c r="H165" i="1"/>
  <c r="E166" i="1"/>
  <c r="G166" i="1"/>
  <c r="H166" i="1"/>
  <c r="E167" i="1"/>
  <c r="G167" i="1"/>
  <c r="H167" i="1"/>
  <c r="E168" i="1"/>
  <c r="G168" i="1"/>
  <c r="H168" i="1"/>
  <c r="E169" i="1"/>
  <c r="G169" i="1"/>
  <c r="H169" i="1"/>
  <c r="E170" i="1"/>
  <c r="G170" i="1"/>
  <c r="H170" i="1"/>
  <c r="H171" i="1"/>
  <c r="B171" i="1"/>
  <c r="C171" i="1"/>
  <c r="D171" i="1"/>
  <c r="E171" i="1"/>
  <c r="F171" i="1"/>
  <c r="G171" i="1"/>
  <c r="B156" i="1"/>
  <c r="B157" i="1"/>
  <c r="B160" i="1"/>
  <c r="B161" i="1"/>
  <c r="B162" i="1"/>
  <c r="D132" i="1"/>
  <c r="D133" i="1"/>
  <c r="D134" i="1"/>
  <c r="D136" i="1"/>
  <c r="D138" i="1"/>
  <c r="D139" i="1"/>
  <c r="D140" i="1"/>
  <c r="D142" i="1"/>
  <c r="D144" i="1"/>
  <c r="D146" i="1"/>
  <c r="D148" i="1"/>
  <c r="D149" i="1"/>
  <c r="D150" i="1"/>
  <c r="C132" i="1"/>
  <c r="C133" i="1"/>
  <c r="C134" i="1"/>
  <c r="C135" i="1"/>
  <c r="C136" i="1"/>
  <c r="C137" i="1"/>
  <c r="C138" i="1"/>
  <c r="C140" i="1"/>
  <c r="C141" i="1"/>
  <c r="C142" i="1"/>
  <c r="C143" i="1"/>
  <c r="C144" i="1"/>
  <c r="C145" i="1"/>
  <c r="C146" i="1"/>
  <c r="C148" i="1"/>
  <c r="C149" i="1"/>
  <c r="C150" i="1"/>
  <c r="B132" i="1"/>
  <c r="B134" i="1"/>
  <c r="B136" i="1"/>
  <c r="B138" i="1"/>
  <c r="B140" i="1"/>
  <c r="B141" i="1"/>
  <c r="B142" i="1"/>
  <c r="B144" i="1"/>
  <c r="B146" i="1"/>
  <c r="B148" i="1"/>
  <c r="B149" i="1"/>
  <c r="B150" i="1"/>
  <c r="D111" i="1"/>
  <c r="D112" i="1"/>
  <c r="D113" i="1"/>
  <c r="D115" i="1"/>
  <c r="D117" i="1"/>
  <c r="D118" i="1"/>
  <c r="D119" i="1"/>
  <c r="D121" i="1"/>
  <c r="D123" i="1"/>
  <c r="D125" i="1"/>
  <c r="D126" i="1"/>
  <c r="D127" i="1"/>
  <c r="C111" i="1"/>
  <c r="C112" i="1"/>
  <c r="C113" i="1"/>
  <c r="C114" i="1"/>
  <c r="C115" i="1"/>
  <c r="C116" i="1"/>
  <c r="C117" i="1"/>
  <c r="C119" i="1"/>
  <c r="C120" i="1"/>
  <c r="C121" i="1"/>
  <c r="C122" i="1"/>
  <c r="C123" i="1"/>
  <c r="C125" i="1"/>
  <c r="C126" i="1"/>
  <c r="C127" i="1"/>
  <c r="B111" i="1"/>
  <c r="B113" i="1"/>
  <c r="B115" i="1"/>
  <c r="B117" i="1"/>
  <c r="B119" i="1"/>
  <c r="B120" i="1"/>
  <c r="B121" i="1"/>
  <c r="B123" i="1"/>
  <c r="B125" i="1"/>
  <c r="B126" i="1"/>
  <c r="B127" i="1"/>
  <c r="D94" i="1"/>
  <c r="D95" i="1"/>
  <c r="D96" i="1"/>
  <c r="D98" i="1"/>
  <c r="D100" i="1"/>
  <c r="D101" i="1"/>
  <c r="D102" i="1"/>
  <c r="D104" i="1"/>
  <c r="D105" i="1"/>
  <c r="D106" i="1"/>
  <c r="C94" i="1"/>
  <c r="C95" i="1"/>
  <c r="C96" i="1"/>
  <c r="C97" i="1"/>
  <c r="C98" i="1"/>
  <c r="C99" i="1"/>
  <c r="C100" i="1"/>
  <c r="C102" i="1"/>
  <c r="C104" i="1"/>
  <c r="C105" i="1"/>
  <c r="C106" i="1"/>
  <c r="B94" i="1"/>
  <c r="B96" i="1"/>
  <c r="B98" i="1"/>
  <c r="B100" i="1"/>
  <c r="B102" i="1"/>
  <c r="B104" i="1"/>
  <c r="B105" i="1"/>
  <c r="B106" i="1"/>
  <c r="D79" i="1"/>
  <c r="D80" i="1"/>
  <c r="D81" i="1"/>
  <c r="D83" i="1"/>
  <c r="D85" i="1"/>
  <c r="D87" i="1"/>
  <c r="D88" i="1"/>
  <c r="D89" i="1"/>
  <c r="C79" i="1"/>
  <c r="C80" i="1"/>
  <c r="C81" i="1"/>
  <c r="C82" i="1"/>
  <c r="C83" i="1"/>
  <c r="C85" i="1"/>
  <c r="C87" i="1"/>
  <c r="C88" i="1"/>
  <c r="C89" i="1"/>
  <c r="B79" i="1"/>
  <c r="B81" i="1"/>
  <c r="B83" i="1"/>
  <c r="B84" i="1"/>
  <c r="B85" i="1"/>
  <c r="B87" i="1"/>
  <c r="B88" i="1"/>
  <c r="B89" i="1"/>
  <c r="D68" i="1"/>
  <c r="D69" i="1"/>
  <c r="D70" i="1"/>
  <c r="D71" i="1"/>
  <c r="D72" i="1"/>
  <c r="D73" i="1"/>
  <c r="D74" i="1"/>
  <c r="C68" i="1"/>
  <c r="C69" i="1"/>
  <c r="C70" i="1"/>
  <c r="C71" i="1"/>
  <c r="C72" i="1"/>
  <c r="C73" i="1"/>
  <c r="C74" i="1"/>
  <c r="B68" i="1"/>
  <c r="B70" i="1"/>
  <c r="B71" i="1"/>
  <c r="B72" i="1"/>
  <c r="B73" i="1"/>
  <c r="B74" i="1"/>
  <c r="D59" i="1"/>
  <c r="D60" i="1"/>
  <c r="D61" i="1"/>
  <c r="D62" i="1"/>
  <c r="D63" i="1"/>
  <c r="C59" i="1"/>
  <c r="C60" i="1"/>
  <c r="C61" i="1"/>
  <c r="C62" i="1"/>
  <c r="C63" i="1"/>
  <c r="B59" i="1"/>
  <c r="B60" i="1"/>
  <c r="B61" i="1"/>
  <c r="B63" i="1"/>
  <c r="B21" i="1"/>
</calcChain>
</file>

<file path=xl/sharedStrings.xml><?xml version="1.0" encoding="utf-8"?>
<sst xmlns="http://schemas.openxmlformats.org/spreadsheetml/2006/main" count="189" uniqueCount="106">
  <si>
    <t>Part 1</t>
  </si>
  <si>
    <t>Asking price per SF</t>
  </si>
  <si>
    <t>Purchasing cost</t>
  </si>
  <si>
    <t>Building Size Sf</t>
  </si>
  <si>
    <t>Tenants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</si>
  <si>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</si>
  <si>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</si>
  <si>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</si>
  <si>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</si>
  <si>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</si>
  <si>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</si>
  <si>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</si>
  <si>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</si>
  <si>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</si>
  <si>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V&amp;C after lease expiry</t>
  </si>
  <si>
    <t>of the PGI</t>
  </si>
  <si>
    <t>Increase of V&amp;C after the expiry of the second lease</t>
  </si>
  <si>
    <t>Current annual market Rate per SF</t>
  </si>
  <si>
    <t>Decrease per year</t>
  </si>
  <si>
    <t>For the next 3 years</t>
  </si>
  <si>
    <t>Increase</t>
  </si>
  <si>
    <t>For te next 4 years</t>
  </si>
  <si>
    <t>Annual operating expenses for all leases per SF</t>
  </si>
  <si>
    <t xml:space="preserve">Annual increase </t>
  </si>
  <si>
    <t>With inflation</t>
  </si>
  <si>
    <t>Landlord cover</t>
  </si>
  <si>
    <t>of the remaining operating expenses</t>
  </si>
  <si>
    <t>Elevetor replacement cost</t>
  </si>
  <si>
    <t>in year 4</t>
  </si>
  <si>
    <t>Capital reserve expense</t>
  </si>
  <si>
    <t>year 1,2,3</t>
  </si>
  <si>
    <t>Building Depreciation years</t>
  </si>
  <si>
    <t>Mid year convention for 1st and last year</t>
  </si>
  <si>
    <t>value of improvenemts</t>
  </si>
  <si>
    <t>of the purchasing price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</si>
  <si>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</si>
  <si>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</si>
  <si>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</si>
  <si>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</si>
  <si>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</si>
  <si>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</si>
  <si>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</si>
  <si>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</si>
  <si>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</si>
  <si>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Income from tenants</t>
  </si>
  <si>
    <t>Year 1</t>
  </si>
  <si>
    <t>Total rent per year</t>
  </si>
  <si>
    <t>Less operating expenses</t>
  </si>
  <si>
    <t>Less tax</t>
  </si>
  <si>
    <t>Income after tax</t>
  </si>
  <si>
    <t>Year 2</t>
  </si>
  <si>
    <t>Add annual increase year 1</t>
  </si>
  <si>
    <t>Less Tax</t>
  </si>
  <si>
    <t>Year 3</t>
  </si>
  <si>
    <t>Add annual increase year 2</t>
  </si>
  <si>
    <t>Less V&amp;C</t>
  </si>
  <si>
    <t>Year 4</t>
  </si>
  <si>
    <t>Add annual increase Year 3</t>
  </si>
  <si>
    <t>Add increase at the beginning of year 4</t>
  </si>
  <si>
    <t>Year 5</t>
  </si>
  <si>
    <t>Add increase year 4</t>
  </si>
  <si>
    <t>Year 6</t>
  </si>
  <si>
    <t>Add increase year 5</t>
  </si>
  <si>
    <t>Market rate forecast</t>
  </si>
  <si>
    <t>Current</t>
  </si>
  <si>
    <t>Market rate year 2</t>
  </si>
  <si>
    <t>Market rate year 3</t>
  </si>
  <si>
    <t>Increase after year 3</t>
  </si>
  <si>
    <t>Market rate year 4</t>
  </si>
  <si>
    <t>Market rate year 5</t>
  </si>
  <si>
    <t>Market rate year 6</t>
  </si>
  <si>
    <t>Total income</t>
  </si>
  <si>
    <t>Total</t>
  </si>
  <si>
    <t>Capital reserve</t>
  </si>
  <si>
    <t>DCF</t>
  </si>
  <si>
    <t>DCF=CF1/(1+r)^1 + CF2/(1+r)^2 + ….CFn/(1+r)^n</t>
  </si>
  <si>
    <t>Where DCF is the discounted cash flow, CF is the cash flow per period and r is the discounting rate</t>
  </si>
  <si>
    <t>DCF for 5 years</t>
  </si>
  <si>
    <t>After tax IRR</t>
  </si>
  <si>
    <t>NPV</t>
  </si>
  <si>
    <r>
      <t>NPV = (C for Period 1 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 (1 + R)</t>
    </r>
    <r>
      <rPr>
        <vertAlign val="superscript"/>
        <sz val="11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) + (C for Period 2 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 (1 + R)</t>
    </r>
    <r>
      <rPr>
        <vertAlign val="superscript"/>
        <sz val="11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 ... (C for Period </t>
    </r>
    <r>
      <rPr>
        <i/>
        <sz val="10"/>
        <color rgb="FF000000"/>
        <rFont val="Arial"/>
        <family val="2"/>
      </rPr>
      <t>x</t>
    </r>
    <r>
      <rPr>
        <sz val="10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 (1 + R)</t>
    </r>
    <r>
      <rPr>
        <i/>
        <vertAlign val="superscript"/>
        <sz val="11"/>
        <color rgb="FF000000"/>
        <rFont val="Arial"/>
        <family val="2"/>
      </rPr>
      <t>x</t>
    </r>
    <r>
      <rPr>
        <sz val="10"/>
        <color rgb="FF000000"/>
        <rFont val="Arial"/>
        <family val="2"/>
      </rPr>
      <t>) - Initial Investment</t>
    </r>
  </si>
  <si>
    <t xml:space="preserve">Where NPV is the Net present value, C is the expcted cashflow per period, </t>
  </si>
  <si>
    <t>r is the required rate of return, and T is the period that the project will generate income.</t>
  </si>
  <si>
    <t>Cash flow</t>
  </si>
  <si>
    <t>Less Initial investment</t>
  </si>
  <si>
    <t>Initial Investment</t>
  </si>
  <si>
    <t>Asking price</t>
  </si>
  <si>
    <t>Lender offer</t>
  </si>
  <si>
    <t>Mortgage period (Years)</t>
  </si>
  <si>
    <t>Interest (Compounded Monthly)</t>
  </si>
  <si>
    <t>Loan to Value ratio</t>
  </si>
  <si>
    <t>Total cost of initial investment</t>
  </si>
  <si>
    <t>Total loan</t>
  </si>
  <si>
    <t>Total mortgage payable after 5 years/NPV=P(1+r)^T</t>
  </si>
  <si>
    <t>Where P is the principal amount, r is the interest rate and T is time period</t>
  </si>
  <si>
    <t>IRR=CFn/(1+r)^n</t>
  </si>
  <si>
    <t xml:space="preserve">This investment is not worth taking since the amount of FRM that the investor will pay is higher than the returns that they will get from the FRM. </t>
  </si>
  <si>
    <t xml:space="preserve">Make sure that everything is linked so I can follow your calculations! Where do you forecast the market rental rate? I need to see that through the link to the cell. </t>
  </si>
  <si>
    <t xml:space="preserve">For this and  the other years, use the pro-forma layout we discussed in class and which I sent by email/uploaded to Blackboard. </t>
  </si>
  <si>
    <t>Where is the V&amp;C?</t>
  </si>
  <si>
    <t xml:space="preserve">Income tax has to be calculated based on a separate calcuation (see outline). </t>
  </si>
  <si>
    <t xml:space="preserve">The 23.5 rent for tenant 2 is the current rent, i.e. year 0. To get the rent for year 1, you have to adjust it by inflation. </t>
  </si>
  <si>
    <t xml:space="preserve">The landlord only covers 25% of the OPEX. Also, the 8.5 are year 0 terms and have to be increased by inflation to get the year 1 OPEX. </t>
  </si>
  <si>
    <t xml:space="preserve">This is the year 0 market rental rate. To get the year 1 rate, you have to adjust this already, i.e. your year 2 rate becomes the year 1 rate and so forth. </t>
  </si>
  <si>
    <t xml:space="preserve">Don't use these formulas, use the formulas in Excel! </t>
  </si>
  <si>
    <t xml:space="preserve">I don't understand what you are doing here. Please follow the outline. You only have to calculate the year 6 NOI to get the sales price in year 5, which is the basis to calculate your after tax equity reversion.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</si>
</sst>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_);_(* \(#,##0\);_(* &quot;-&quot;?_);_(@_)"/>
    <numFmt numFmtId="167" formatCode="_(* #,##0.000_);_(* \(#,##0.000\);_(* &quot;-&quot;???_);_(@_)"/>
  </numFmts>
  <fonts count="13" x14ac:knownFonts="1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vertAlign val="superscript"/>
      <sz val="11"/>
      <color rgb="FF000000"/>
      <name val="Arial"/>
      <family val="2"/>
    </font>
    <font>
      <i/>
      <sz val="10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</font>
    <font>
      <sz val="12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7" fillId="0" borderId="0" xfId="0" applyFont="1" applyFill="1"/>
    <xf numFmtId="0" fontId="8" fillId="0" borderId="0" xfId="0" applyFont="1" applyFill="1"/>
    <xf numFmtId="9" fontId="7" fillId="0" borderId="0" xfId="0" applyNumberFormat="1" applyFont="1" applyFill="1"/>
    <xf numFmtId="10" fontId="7" fillId="0" borderId="0" xfId="0" applyNumberFormat="1" applyFont="1" applyFill="1"/>
    <xf numFmtId="164" fontId="7" fillId="0" borderId="0" xfId="0" applyNumberFormat="1" applyFont="1" applyFill="1"/>
    <xf numFmtId="165" fontId="7" fillId="0" borderId="0" xfId="1" applyNumberFormat="1" applyFont="1" applyFill="1"/>
    <xf numFmtId="166" fontId="7" fillId="0" borderId="0" xfId="0" applyNumberFormat="1" applyFont="1" applyFill="1"/>
    <xf numFmtId="165" fontId="7" fillId="0" borderId="0" xfId="0" applyNumberFormat="1" applyFont="1" applyFill="1"/>
    <xf numFmtId="43" fontId="7" fillId="0" borderId="0" xfId="0" applyNumberFormat="1" applyFont="1" applyFill="1"/>
    <xf numFmtId="165" fontId="8" fillId="0" borderId="0" xfId="0" applyNumberFormat="1" applyFont="1" applyFill="1"/>
    <xf numFmtId="43" fontId="7" fillId="0" borderId="0" xfId="1" applyNumberFormat="1" applyFont="1" applyFill="1"/>
    <xf numFmtId="43" fontId="8" fillId="0" borderId="0" xfId="0" applyNumberFormat="1" applyFont="1" applyFill="1"/>
    <xf numFmtId="2" fontId="7" fillId="0" borderId="0" xfId="0" applyNumberFormat="1" applyFont="1" applyFill="1"/>
    <xf numFmtId="43" fontId="7" fillId="0" borderId="0" xfId="1" applyFont="1" applyFill="1"/>
    <xf numFmtId="43" fontId="8" fillId="0" borderId="0" xfId="1" applyFont="1" applyFill="1"/>
    <xf numFmtId="0" fontId="2" fillId="0" borderId="0" xfId="0" applyFont="1" applyFill="1"/>
    <xf numFmtId="0" fontId="9" fillId="0" borderId="0" xfId="2" applyFont="1" applyFill="1"/>
    <xf numFmtId="167" fontId="8" fillId="0" borderId="0" xfId="0" applyNumberFormat="1" applyFont="1" applyFill="1"/>
    <xf numFmtId="0" fontId="10" fillId="0" borderId="0" xfId="0" applyFont="1" applyFill="1"/>
    <xf numFmtId="0" fontId="8" fillId="2" borderId="0" xfId="0" applyFont="1" applyFill="1"/>
    <xf numFmtId="0" fontId="7" fillId="2" borderId="0" xfId="0" applyFont="1" applyFill="1"/>
    <xf numFmtId="43" fontId="7" fillId="2" borderId="0" xfId="1" applyFont="1" applyFill="1"/>
    <xf numFmtId="43" fontId="8" fillId="2" borderId="0" xfId="0" applyNumberFormat="1" applyFont="1" applyFill="1"/>
    <xf numFmtId="43" fontId="8" fillId="2" borderId="0" xfId="1" applyFont="1" applyFill="1"/>
    <xf numFmtId="43" fontId="10" fillId="0" borderId="0" xfId="1" applyNumberFormat="1" applyFont="1" applyFill="1"/>
    <xf numFmtId="0" fontId="11" fillId="0" borderId="0" xfId="0" applyFont="1" applyFill="1"/>
    <xf numFmtId="0" fontId="11" fillId="2" borderId="0" xfId="0" applyFont="1" applyFill="1"/>
    <xf numFmtId="0" fontId="12" fillId="0" borderId="0" xfId="0" applyFont="1"/>
    <xf numFmtId="165" fontId="10" fillId="0" borderId="0" xfId="1" applyNumberFormat="1" applyFont="1" applyFill="1"/>
    <xf numFmtId="166" fontId="10" fillId="0" borderId="0" xfId="0" applyNumberFormat="1" applyFont="1" applyFill="1"/>
    <xf numFmtId="165" fontId="10" fillId="0" borderId="0" xfId="0" applyNumberFormat="1" applyFont="1" applyFill="1"/>
    <xf numFmtId="43" fontId="10" fillId="0" borderId="0" xfId="0" applyNumberFormat="1" applyFont="1" applyFill="1"/>
    <xf numFmtId="165" fontId="11" fillId="0" borderId="0" xfId="0" applyNumberFormat="1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workbookViewId="0">
      <selection activeCell="E136" sqref="E136"/>
    </sheetView>
  </sheetViews>
  <sheetFormatPr baseColWidth="10" defaultRowHeight="15" x14ac:dyDescent="0"/>
  <cols>
    <col min="1" max="1" width="89" customWidth="1"/>
    <col min="2" max="2" width="17.33203125" customWidth="1"/>
    <col min="3" max="3" width="34.5" bestFit="1" customWidth="1"/>
    <col min="4" max="4" width="17.6640625" customWidth="1"/>
    <col min="5" max="5" width="16.33203125" customWidth="1"/>
    <col min="6" max="6" width="12.5" bestFit="1" customWidth="1"/>
    <col min="7" max="7" width="14.1640625" customWidth="1"/>
    <col min="8" max="8" width="12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 t="s">
        <v>1</v>
      </c>
      <c r="B4" s="1">
        <v>135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 t="s">
        <v>2</v>
      </c>
      <c r="B5" s="3">
        <v>0.02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 t="s">
        <v>3</v>
      </c>
      <c r="B6" s="1">
        <v>60390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 t="s">
        <v>4</v>
      </c>
      <c r="B7" s="1">
        <v>3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9" t="s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 t="s">
        <v>6</v>
      </c>
      <c r="B10" s="1">
        <v>24156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 t="s">
        <v>7</v>
      </c>
      <c r="B11" s="1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 t="s">
        <v>8</v>
      </c>
      <c r="B12" s="1">
        <v>2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9" t="s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 t="s">
        <v>6</v>
      </c>
      <c r="B15" s="1">
        <v>10266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 t="s">
        <v>7</v>
      </c>
      <c r="B16" s="1">
        <v>23.5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 t="s">
        <v>8</v>
      </c>
      <c r="B17" s="1">
        <v>4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 t="s">
        <v>10</v>
      </c>
      <c r="B18" s="4">
        <v>2.5000000000000001E-2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9" t="s">
        <v>11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 t="s">
        <v>6</v>
      </c>
      <c r="B21" s="1">
        <f>B6-B10-B15</f>
        <v>25968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 t="s">
        <v>7</v>
      </c>
      <c r="B22" s="1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 t="s">
        <v>8</v>
      </c>
      <c r="B23" s="1">
        <v>6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 t="s">
        <v>12</v>
      </c>
      <c r="B24" s="1">
        <v>2</v>
      </c>
      <c r="C24" s="1" t="s">
        <v>13</v>
      </c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 t="s">
        <v>14</v>
      </c>
      <c r="B26" s="3">
        <v>0.05</v>
      </c>
      <c r="C26" s="1" t="s">
        <v>15</v>
      </c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 t="s">
        <v>16</v>
      </c>
      <c r="B27" s="3">
        <v>0.1</v>
      </c>
      <c r="C27" s="1" t="s">
        <v>15</v>
      </c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 t="s">
        <v>17</v>
      </c>
      <c r="B29" s="1">
        <v>19.75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 t="s">
        <v>18</v>
      </c>
      <c r="B30" s="5">
        <v>3.5000000000000003E-2</v>
      </c>
      <c r="C30" s="1" t="s">
        <v>19</v>
      </c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 t="s">
        <v>20</v>
      </c>
      <c r="B31" s="5">
        <v>2.5000000000000001E-2</v>
      </c>
      <c r="C31" s="1" t="s">
        <v>21</v>
      </c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 t="s">
        <v>22</v>
      </c>
      <c r="B33" s="1">
        <v>8.5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 t="s">
        <v>23</v>
      </c>
      <c r="B34" s="5">
        <v>2.5000000000000001E-2</v>
      </c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 t="s">
        <v>25</v>
      </c>
      <c r="B35" s="3">
        <v>0.25</v>
      </c>
      <c r="C35" s="1" t="s">
        <v>26</v>
      </c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 t="s">
        <v>27</v>
      </c>
      <c r="B37" s="1">
        <v>450000</v>
      </c>
      <c r="C37" s="1" t="s">
        <v>28</v>
      </c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 t="s">
        <v>29</v>
      </c>
      <c r="B38" s="1">
        <v>150000</v>
      </c>
      <c r="C38" s="1" t="s">
        <v>30</v>
      </c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 t="s">
        <v>31</v>
      </c>
      <c r="B40" s="1">
        <v>39</v>
      </c>
      <c r="C40" s="1" t="s">
        <v>32</v>
      </c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 t="s">
        <v>33</v>
      </c>
      <c r="B41" s="3">
        <v>0.8</v>
      </c>
      <c r="C41" s="1" t="s">
        <v>34</v>
      </c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 t="s">
        <v>35</v>
      </c>
      <c r="B43" s="4">
        <v>8.5000000000000006E-2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 t="s">
        <v>36</v>
      </c>
      <c r="B44" s="3">
        <v>0.1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 t="s">
        <v>37</v>
      </c>
      <c r="B45" s="3">
        <v>0.02</v>
      </c>
      <c r="C45" s="1" t="s">
        <v>38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 t="s">
        <v>39</v>
      </c>
      <c r="B47" s="1">
        <v>5</v>
      </c>
      <c r="C47" s="1" t="s">
        <v>40</v>
      </c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 t="s">
        <v>41</v>
      </c>
      <c r="B49" s="3">
        <v>0.35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 t="s">
        <v>42</v>
      </c>
      <c r="B50" s="3">
        <v>0.17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 t="s">
        <v>43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26" t="s">
        <v>102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2" t="s">
        <v>44</v>
      </c>
      <c r="B55" s="1"/>
      <c r="C55" s="26" t="s">
        <v>101</v>
      </c>
      <c r="D55" s="1"/>
      <c r="E55" s="1"/>
      <c r="F55" s="1"/>
      <c r="G55" s="1"/>
      <c r="H55" s="1"/>
      <c r="I55" s="1"/>
      <c r="J55" s="1"/>
      <c r="K55" s="1"/>
      <c r="L55" s="1"/>
    </row>
    <row r="56" spans="1:12" s="28" customFormat="1">
      <c r="A56" s="27" t="s">
        <v>45</v>
      </c>
      <c r="B56" s="19" t="s">
        <v>5</v>
      </c>
      <c r="C56" s="19" t="s">
        <v>9</v>
      </c>
      <c r="D56" s="19" t="s">
        <v>11</v>
      </c>
      <c r="E56" s="19"/>
      <c r="F56" s="19"/>
      <c r="G56" s="19"/>
      <c r="H56" s="19"/>
      <c r="I56" s="19"/>
      <c r="J56" s="19"/>
      <c r="K56" s="19"/>
      <c r="L56" s="19"/>
    </row>
    <row r="57" spans="1:12" s="28" customFormat="1">
      <c r="A57" s="19" t="s">
        <v>6</v>
      </c>
      <c r="B57" s="29">
        <v>24156</v>
      </c>
      <c r="C57" s="29">
        <v>10266</v>
      </c>
      <c r="D57" s="29">
        <v>25968</v>
      </c>
      <c r="E57" s="19" t="s">
        <v>98</v>
      </c>
      <c r="F57" s="19"/>
      <c r="G57" s="19"/>
      <c r="H57" s="19"/>
      <c r="I57" s="19"/>
      <c r="J57" s="19"/>
      <c r="K57" s="19"/>
      <c r="L57" s="19"/>
    </row>
    <row r="58" spans="1:12" s="28" customFormat="1">
      <c r="A58" s="19" t="s">
        <v>7</v>
      </c>
      <c r="B58" s="29">
        <v>25</v>
      </c>
      <c r="C58" s="29">
        <v>23.5</v>
      </c>
      <c r="D58" s="29">
        <v>22</v>
      </c>
      <c r="E58" s="19"/>
      <c r="F58" s="19"/>
      <c r="G58" s="19"/>
      <c r="H58" s="19"/>
      <c r="I58" s="19"/>
      <c r="J58" s="19"/>
      <c r="K58" s="19"/>
      <c r="L58" s="19"/>
    </row>
    <row r="59" spans="1:12" s="28" customFormat="1">
      <c r="A59" s="19" t="s">
        <v>46</v>
      </c>
      <c r="B59" s="29">
        <f>B57*B58</f>
        <v>603900</v>
      </c>
      <c r="C59" s="29">
        <f>C57*C58</f>
        <v>241251</v>
      </c>
      <c r="D59" s="29">
        <f>D57*D58</f>
        <v>571296</v>
      </c>
      <c r="E59" s="19"/>
      <c r="F59" s="19"/>
      <c r="G59" s="19"/>
      <c r="H59" s="19"/>
      <c r="I59" s="19"/>
      <c r="J59" s="19"/>
      <c r="K59" s="19"/>
      <c r="L59" s="19"/>
    </row>
    <row r="60" spans="1:12" s="28" customFormat="1">
      <c r="A60" s="19" t="s">
        <v>47</v>
      </c>
      <c r="B60" s="30">
        <f>-8.5*B57</f>
        <v>-205326</v>
      </c>
      <c r="C60" s="30">
        <f>-8.5*C57</f>
        <v>-87261</v>
      </c>
      <c r="D60" s="30">
        <f>-8.5*D57</f>
        <v>-220728</v>
      </c>
      <c r="E60" s="19" t="s">
        <v>99</v>
      </c>
      <c r="F60" s="19"/>
      <c r="G60" s="19"/>
      <c r="H60" s="19"/>
      <c r="I60" s="19"/>
      <c r="J60" s="19"/>
      <c r="K60" s="19"/>
      <c r="L60" s="19"/>
    </row>
    <row r="61" spans="1:12" s="28" customFormat="1">
      <c r="A61" s="19"/>
      <c r="B61" s="31">
        <f>SUM(B59:B60)</f>
        <v>398574</v>
      </c>
      <c r="C61" s="31">
        <f>SUM(C59:C60)</f>
        <v>153990</v>
      </c>
      <c r="D61" s="31">
        <f>SUM(D59:D60)</f>
        <v>350568</v>
      </c>
      <c r="E61" s="19"/>
      <c r="F61" s="19"/>
      <c r="G61" s="19"/>
      <c r="H61" s="19"/>
      <c r="I61" s="19"/>
      <c r="J61" s="19"/>
      <c r="K61" s="19"/>
      <c r="L61" s="19"/>
    </row>
    <row r="62" spans="1:12" s="28" customFormat="1">
      <c r="A62" s="19" t="s">
        <v>48</v>
      </c>
      <c r="B62" s="32">
        <f>-B61*35%</f>
        <v>-139500.9</v>
      </c>
      <c r="C62" s="32">
        <f>-C61*35%</f>
        <v>-53896.5</v>
      </c>
      <c r="D62" s="32">
        <f>-D61*35%</f>
        <v>-122698.79999999999</v>
      </c>
      <c r="E62" s="19" t="s">
        <v>100</v>
      </c>
      <c r="F62" s="19"/>
      <c r="G62" s="19"/>
      <c r="H62" s="19"/>
      <c r="I62" s="19"/>
      <c r="J62" s="19"/>
      <c r="K62" s="19"/>
      <c r="L62" s="19"/>
    </row>
    <row r="63" spans="1:12" s="28" customFormat="1">
      <c r="A63" s="26" t="s">
        <v>49</v>
      </c>
      <c r="B63" s="33">
        <f>SUM(B61:B62)</f>
        <v>259073.1</v>
      </c>
      <c r="C63" s="33">
        <f>SUM(C61:C62)</f>
        <v>100093.5</v>
      </c>
      <c r="D63" s="33">
        <f>SUM(D61:D62)</f>
        <v>227869.2</v>
      </c>
      <c r="E63" s="26"/>
      <c r="F63" s="26"/>
      <c r="G63" s="26"/>
      <c r="H63" s="26"/>
      <c r="I63" s="26"/>
      <c r="J63" s="26"/>
      <c r="K63" s="26"/>
      <c r="L63" s="2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20" t="s">
        <v>50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 t="s">
        <v>6</v>
      </c>
      <c r="B66" s="6">
        <v>24156</v>
      </c>
      <c r="C66" s="6">
        <v>10266</v>
      </c>
      <c r="D66" s="6">
        <v>25968</v>
      </c>
      <c r="E66" s="1"/>
      <c r="F66" s="1"/>
      <c r="G66" s="1"/>
      <c r="H66" s="1"/>
      <c r="I66" s="1"/>
      <c r="J66" s="1"/>
      <c r="K66" s="1"/>
      <c r="L66" s="1"/>
    </row>
    <row r="67" spans="1:12">
      <c r="A67" s="1" t="s">
        <v>7</v>
      </c>
      <c r="B67" s="6">
        <v>25</v>
      </c>
      <c r="C67" s="6">
        <v>23.5</v>
      </c>
      <c r="D67" s="6">
        <v>22</v>
      </c>
      <c r="E67" s="1"/>
      <c r="F67" s="1"/>
      <c r="G67" s="1"/>
      <c r="H67" s="1"/>
      <c r="I67" s="1"/>
      <c r="J67" s="1"/>
      <c r="K67" s="1"/>
      <c r="L67" s="1"/>
    </row>
    <row r="68" spans="1:12">
      <c r="A68" s="1" t="s">
        <v>46</v>
      </c>
      <c r="B68" s="6">
        <f>B66*B67</f>
        <v>603900</v>
      </c>
      <c r="C68" s="6">
        <f>C66*C67</f>
        <v>241251</v>
      </c>
      <c r="D68" s="6">
        <f>D66*D67</f>
        <v>571296</v>
      </c>
      <c r="E68" s="1"/>
      <c r="F68" s="1"/>
      <c r="G68" s="1"/>
      <c r="H68" s="1"/>
      <c r="I68" s="1"/>
      <c r="J68" s="1"/>
      <c r="K68" s="1"/>
      <c r="L68" s="1"/>
    </row>
    <row r="69" spans="1:12">
      <c r="A69" s="1" t="s">
        <v>51</v>
      </c>
      <c r="B69" s="6">
        <v>0</v>
      </c>
      <c r="C69" s="6">
        <f>C68*2.5%</f>
        <v>6031.2750000000005</v>
      </c>
      <c r="D69" s="6">
        <f>2*D66</f>
        <v>51936</v>
      </c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6">
        <f>SUM(B68:B69)</f>
        <v>603900</v>
      </c>
      <c r="C70" s="6">
        <f>SUM(C68:C69)</f>
        <v>247282.27499999999</v>
      </c>
      <c r="D70" s="6">
        <f>SUM(D68:D69)</f>
        <v>623232</v>
      </c>
      <c r="E70" s="1"/>
      <c r="F70" s="1"/>
      <c r="G70" s="1"/>
      <c r="H70" s="1"/>
      <c r="I70" s="1"/>
      <c r="J70" s="1"/>
      <c r="K70" s="1"/>
      <c r="L70" s="1"/>
    </row>
    <row r="71" spans="1:12">
      <c r="A71" s="1" t="s">
        <v>47</v>
      </c>
      <c r="B71" s="7">
        <f>-8.5*B66</f>
        <v>-205326</v>
      </c>
      <c r="C71" s="7">
        <f>-8.5*C66</f>
        <v>-87261</v>
      </c>
      <c r="D71" s="7">
        <f>-8.5*D66</f>
        <v>-220728</v>
      </c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8">
        <f>SUM(B70:B71)</f>
        <v>398574</v>
      </c>
      <c r="C72" s="8">
        <f>SUM(C70:C71)</f>
        <v>160021.27499999999</v>
      </c>
      <c r="D72" s="8">
        <f>SUM(D70:D71)</f>
        <v>402504</v>
      </c>
      <c r="E72" s="1"/>
      <c r="F72" s="1"/>
      <c r="G72" s="1"/>
      <c r="H72" s="1"/>
      <c r="I72" s="1"/>
      <c r="J72" s="1"/>
      <c r="K72" s="1"/>
      <c r="L72" s="1"/>
    </row>
    <row r="73" spans="1:12">
      <c r="A73" s="1" t="s">
        <v>52</v>
      </c>
      <c r="B73" s="1">
        <f>-B72*35%</f>
        <v>-139500.9</v>
      </c>
      <c r="C73" s="1">
        <f>-C72*35%</f>
        <v>-56007.446249999994</v>
      </c>
      <c r="D73" s="1">
        <f>-D72*35%</f>
        <v>-140876.4</v>
      </c>
      <c r="E73" s="1"/>
      <c r="F73" s="1"/>
      <c r="G73" s="1"/>
      <c r="H73" s="1"/>
      <c r="I73" s="1"/>
      <c r="J73" s="1"/>
      <c r="K73" s="1"/>
      <c r="L73" s="1"/>
    </row>
    <row r="74" spans="1:12">
      <c r="A74" s="2" t="s">
        <v>49</v>
      </c>
      <c r="B74" s="10">
        <f>SUM(B72:B73)</f>
        <v>259073.1</v>
      </c>
      <c r="C74" s="10">
        <f>SUM(C72:C73)</f>
        <v>104013.82875</v>
      </c>
      <c r="D74" s="10">
        <f>SUM(D72:D73)</f>
        <v>261627.6</v>
      </c>
      <c r="E74" s="2"/>
      <c r="F74" s="2"/>
      <c r="G74" s="2"/>
      <c r="H74" s="2"/>
      <c r="I74" s="2"/>
      <c r="J74" s="2"/>
      <c r="K74" s="2"/>
      <c r="L74" s="2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20" t="s">
        <v>53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 t="s">
        <v>6</v>
      </c>
      <c r="B77" s="6">
        <v>24156</v>
      </c>
      <c r="C77" s="6">
        <v>10266</v>
      </c>
      <c r="D77" s="6">
        <v>25968</v>
      </c>
      <c r="E77" s="1"/>
      <c r="F77" s="1"/>
      <c r="G77" s="1"/>
      <c r="H77" s="1"/>
      <c r="I77" s="1"/>
      <c r="J77" s="1"/>
      <c r="K77" s="1"/>
      <c r="L77" s="1"/>
    </row>
    <row r="78" spans="1:12">
      <c r="A78" s="1" t="s">
        <v>7</v>
      </c>
      <c r="B78" s="25">
        <v>18.39</v>
      </c>
      <c r="C78" s="6">
        <v>23.5</v>
      </c>
      <c r="D78" s="6">
        <v>22</v>
      </c>
      <c r="E78" s="26" t="s">
        <v>97</v>
      </c>
      <c r="F78" s="1"/>
      <c r="G78" s="1"/>
      <c r="H78" s="1"/>
      <c r="I78" s="1"/>
      <c r="J78" s="1"/>
      <c r="K78" s="1"/>
      <c r="L78" s="1"/>
    </row>
    <row r="79" spans="1:12">
      <c r="A79" s="1" t="s">
        <v>46</v>
      </c>
      <c r="B79" s="6">
        <f>B77*B78</f>
        <v>444228.84</v>
      </c>
      <c r="C79" s="6">
        <f>C77*C78</f>
        <v>241251</v>
      </c>
      <c r="D79" s="6">
        <f>D77*D78</f>
        <v>571296</v>
      </c>
      <c r="E79" s="1"/>
      <c r="F79" s="1"/>
      <c r="G79" s="1"/>
      <c r="H79" s="1"/>
      <c r="I79" s="1"/>
      <c r="J79" s="1"/>
      <c r="K79" s="1"/>
      <c r="L79" s="1"/>
    </row>
    <row r="80" spans="1:12">
      <c r="A80" s="1" t="s">
        <v>51</v>
      </c>
      <c r="B80" s="6">
        <v>0</v>
      </c>
      <c r="C80" s="6">
        <f>C79*2.5%</f>
        <v>6031.2750000000005</v>
      </c>
      <c r="D80" s="6">
        <f>2*D77</f>
        <v>51936</v>
      </c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6">
        <f>SUM(B79:B80)</f>
        <v>444228.84</v>
      </c>
      <c r="C81" s="6">
        <f>SUM(C79:C80)</f>
        <v>247282.27499999999</v>
      </c>
      <c r="D81" s="6">
        <f>SUM(D79:D80)</f>
        <v>623232</v>
      </c>
      <c r="E81" s="1"/>
      <c r="F81" s="1"/>
      <c r="G81" s="1"/>
      <c r="H81" s="1"/>
      <c r="I81" s="1"/>
      <c r="J81" s="1"/>
      <c r="K81" s="1"/>
      <c r="L81" s="1"/>
    </row>
    <row r="82" spans="1:12">
      <c r="A82" s="1" t="s">
        <v>54</v>
      </c>
      <c r="B82" s="6">
        <v>0</v>
      </c>
      <c r="C82" s="9">
        <f>C81*2.5%</f>
        <v>6182.0568750000002</v>
      </c>
      <c r="D82" s="1">
        <v>0</v>
      </c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8">
        <f>SUM(B81:B82)</f>
        <v>444228.84</v>
      </c>
      <c r="C83" s="8">
        <f>SUM(C81:C82)</f>
        <v>253464.331875</v>
      </c>
      <c r="D83" s="8">
        <f>SUM(D81:D82)</f>
        <v>623232</v>
      </c>
      <c r="E83" s="1"/>
      <c r="F83" s="1"/>
      <c r="G83" s="1"/>
      <c r="H83" s="1"/>
      <c r="I83" s="1"/>
      <c r="J83" s="1"/>
      <c r="K83" s="1"/>
      <c r="L83" s="1"/>
    </row>
    <row r="84" spans="1:12">
      <c r="A84" s="1" t="s">
        <v>55</v>
      </c>
      <c r="B84" s="1">
        <f>-B83*5%</f>
        <v>-22211.442000000003</v>
      </c>
      <c r="C84" s="1">
        <v>0</v>
      </c>
      <c r="D84" s="1">
        <v>0</v>
      </c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8">
        <f>SUM(B83:B84)</f>
        <v>422017.39800000004</v>
      </c>
      <c r="C85" s="8">
        <f>SUM(C83:C84)</f>
        <v>253464.331875</v>
      </c>
      <c r="D85" s="8">
        <f>SUM(D83:D84)</f>
        <v>623232</v>
      </c>
      <c r="E85" s="1"/>
      <c r="F85" s="1"/>
      <c r="G85" s="1"/>
      <c r="H85" s="1"/>
      <c r="I85" s="1"/>
      <c r="J85" s="1"/>
      <c r="K85" s="1"/>
      <c r="L85" s="1"/>
    </row>
    <row r="86" spans="1:12">
      <c r="A86" s="1" t="s">
        <v>47</v>
      </c>
      <c r="B86" s="1">
        <v>-205326</v>
      </c>
      <c r="C86" s="1">
        <v>-87261</v>
      </c>
      <c r="D86" s="1">
        <v>-220728</v>
      </c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8">
        <f>SUM(B85:B86)</f>
        <v>216691.39800000004</v>
      </c>
      <c r="C87" s="8">
        <f>SUM(C85:C86)</f>
        <v>166203.331875</v>
      </c>
      <c r="D87" s="8">
        <f>SUM(D85:D86)</f>
        <v>402504</v>
      </c>
      <c r="E87" s="1"/>
      <c r="F87" s="1"/>
      <c r="G87" s="1"/>
      <c r="H87" s="1"/>
      <c r="I87" s="1"/>
      <c r="J87" s="1"/>
      <c r="K87" s="1"/>
      <c r="L87" s="1"/>
    </row>
    <row r="88" spans="1:12">
      <c r="A88" s="1" t="s">
        <v>48</v>
      </c>
      <c r="B88" s="9">
        <f>-35%*B87</f>
        <v>-75841.989300000016</v>
      </c>
      <c r="C88" s="9">
        <f>-35%*C87</f>
        <v>-58171.166156249994</v>
      </c>
      <c r="D88" s="9">
        <f>-35%*D87</f>
        <v>-140876.4</v>
      </c>
      <c r="E88" s="1"/>
      <c r="F88" s="1"/>
      <c r="G88" s="1"/>
      <c r="H88" s="1"/>
      <c r="I88" s="1"/>
      <c r="J88" s="1"/>
      <c r="K88" s="1"/>
      <c r="L88" s="1"/>
    </row>
    <row r="89" spans="1:12">
      <c r="A89" s="2" t="s">
        <v>49</v>
      </c>
      <c r="B89" s="10">
        <f>SUM(B87:B88)</f>
        <v>140849.40870000003</v>
      </c>
      <c r="C89" s="10">
        <f>SUM(C87:C88)</f>
        <v>108032.16571875001</v>
      </c>
      <c r="D89" s="10">
        <f>SUM(D87:D88)</f>
        <v>261627.6</v>
      </c>
      <c r="E89" s="2"/>
      <c r="F89" s="2"/>
      <c r="G89" s="2"/>
      <c r="H89" s="2"/>
      <c r="I89" s="2"/>
      <c r="J89" s="2"/>
      <c r="K89" s="2"/>
      <c r="L89" s="2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20" t="s">
        <v>56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 t="s">
        <v>6</v>
      </c>
      <c r="B92" s="6">
        <v>24156</v>
      </c>
      <c r="C92" s="6">
        <v>10266</v>
      </c>
      <c r="D92" s="6">
        <v>25968</v>
      </c>
      <c r="E92" s="1"/>
      <c r="F92" s="1"/>
      <c r="G92" s="1"/>
      <c r="H92" s="1"/>
      <c r="I92" s="1"/>
      <c r="J92" s="1"/>
      <c r="K92" s="1"/>
      <c r="L92" s="1"/>
    </row>
    <row r="93" spans="1:12">
      <c r="A93" s="1" t="s">
        <v>7</v>
      </c>
      <c r="B93" s="11">
        <v>18.850000000000001</v>
      </c>
      <c r="C93" s="6">
        <v>23.5</v>
      </c>
      <c r="D93" s="6">
        <v>22</v>
      </c>
      <c r="E93" s="1"/>
      <c r="F93" s="1"/>
      <c r="G93" s="1"/>
      <c r="H93" s="1"/>
      <c r="I93" s="1"/>
      <c r="J93" s="1"/>
      <c r="K93" s="1"/>
      <c r="L93" s="1"/>
    </row>
    <row r="94" spans="1:12">
      <c r="A94" s="1" t="s">
        <v>46</v>
      </c>
      <c r="B94" s="6">
        <f>B92*B93</f>
        <v>455340.60000000003</v>
      </c>
      <c r="C94" s="6">
        <f>C92*C93</f>
        <v>241251</v>
      </c>
      <c r="D94" s="6">
        <f>D92*D93</f>
        <v>571296</v>
      </c>
      <c r="E94" s="1"/>
      <c r="F94" s="1"/>
      <c r="G94" s="1"/>
      <c r="H94" s="1"/>
      <c r="I94" s="1"/>
      <c r="J94" s="1"/>
      <c r="K94" s="1"/>
      <c r="L94" s="1"/>
    </row>
    <row r="95" spans="1:12">
      <c r="A95" s="1" t="s">
        <v>51</v>
      </c>
      <c r="B95" s="6">
        <v>0</v>
      </c>
      <c r="C95" s="6">
        <f>C94*2.5%</f>
        <v>6031.2750000000005</v>
      </c>
      <c r="D95" s="6">
        <f>2*D92</f>
        <v>51936</v>
      </c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6">
        <f>SUM(B94:B95)</f>
        <v>455340.60000000003</v>
      </c>
      <c r="C96" s="6">
        <f>SUM(C94:C95)</f>
        <v>247282.27499999999</v>
      </c>
      <c r="D96" s="6">
        <f>SUM(D94:D95)</f>
        <v>623232</v>
      </c>
      <c r="E96" s="1"/>
      <c r="F96" s="1"/>
      <c r="G96" s="1"/>
      <c r="H96" s="1"/>
      <c r="I96" s="1"/>
      <c r="J96" s="1"/>
      <c r="K96" s="1"/>
      <c r="L96" s="1"/>
    </row>
    <row r="97" spans="1:12">
      <c r="A97" s="1" t="s">
        <v>54</v>
      </c>
      <c r="B97" s="6">
        <v>0</v>
      </c>
      <c r="C97" s="9">
        <f>C96*2.5%</f>
        <v>6182.0568750000002</v>
      </c>
      <c r="D97" s="1">
        <v>0</v>
      </c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8">
        <f>SUM(B96:B97)</f>
        <v>455340.60000000003</v>
      </c>
      <c r="C98" s="8">
        <f>SUM(C96:C97)</f>
        <v>253464.331875</v>
      </c>
      <c r="D98" s="8">
        <f>SUM(D96:D97)</f>
        <v>623232</v>
      </c>
      <c r="E98" s="1"/>
      <c r="F98" s="1"/>
      <c r="G98" s="1"/>
      <c r="H98" s="1"/>
      <c r="I98" s="1"/>
      <c r="J98" s="1"/>
      <c r="K98" s="1"/>
      <c r="L98" s="1"/>
    </row>
    <row r="99" spans="1:12">
      <c r="A99" s="1" t="s">
        <v>57</v>
      </c>
      <c r="B99" s="1">
        <v>0</v>
      </c>
      <c r="C99" s="9">
        <f>C98*2.5%</f>
        <v>6336.6082968750006</v>
      </c>
      <c r="D99" s="1">
        <v>0</v>
      </c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8">
        <f>SUM(B98:B99)</f>
        <v>455340.60000000003</v>
      </c>
      <c r="C100" s="8">
        <f>SUM(C98:C99)</f>
        <v>259800.940171875</v>
      </c>
      <c r="D100" s="8">
        <f>SUM(D98:D99)</f>
        <v>623232</v>
      </c>
      <c r="E100" s="1"/>
      <c r="F100" s="1"/>
      <c r="G100" s="1"/>
      <c r="H100" s="1"/>
      <c r="I100" s="1"/>
      <c r="J100" s="1"/>
      <c r="K100" s="1"/>
      <c r="L100" s="1"/>
    </row>
    <row r="101" spans="1:12">
      <c r="A101" s="1" t="s">
        <v>58</v>
      </c>
      <c r="B101" s="1">
        <v>0</v>
      </c>
      <c r="C101" s="1">
        <v>0</v>
      </c>
      <c r="D101" s="8">
        <f>2*D92</f>
        <v>51936</v>
      </c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8">
        <f>SUM(B100:B101)</f>
        <v>455340.60000000003</v>
      </c>
      <c r="C102" s="8">
        <f>SUM(C100:C101)</f>
        <v>259800.940171875</v>
      </c>
      <c r="D102" s="8">
        <f>SUM(D100:D101)</f>
        <v>675168</v>
      </c>
      <c r="E102" s="1"/>
      <c r="F102" s="1"/>
      <c r="G102" s="1"/>
      <c r="H102" s="1"/>
      <c r="I102" s="1"/>
      <c r="J102" s="1"/>
      <c r="K102" s="1"/>
      <c r="L102" s="1"/>
    </row>
    <row r="103" spans="1:12">
      <c r="A103" s="1" t="s">
        <v>47</v>
      </c>
      <c r="B103" s="1">
        <v>-205326</v>
      </c>
      <c r="C103" s="1">
        <v>-87261</v>
      </c>
      <c r="D103" s="1">
        <v>-220728</v>
      </c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8">
        <f>SUM(B102:B103)</f>
        <v>250014.60000000003</v>
      </c>
      <c r="C104" s="8">
        <f>SUM(C102:C103)</f>
        <v>172539.940171875</v>
      </c>
      <c r="D104" s="8">
        <f>SUM(D102:D103)</f>
        <v>454440</v>
      </c>
      <c r="E104" s="1"/>
      <c r="F104" s="1"/>
      <c r="G104" s="1"/>
      <c r="H104" s="1"/>
      <c r="I104" s="1"/>
      <c r="J104" s="1"/>
      <c r="K104" s="1"/>
      <c r="L104" s="1"/>
    </row>
    <row r="105" spans="1:12">
      <c r="A105" s="1" t="s">
        <v>48</v>
      </c>
      <c r="B105" s="9">
        <f>-35%*B104</f>
        <v>-87505.11</v>
      </c>
      <c r="C105" s="9">
        <f>-35%*C104</f>
        <v>-60388.979060156249</v>
      </c>
      <c r="D105" s="9">
        <f>-35%*D104</f>
        <v>-159054</v>
      </c>
      <c r="E105" s="1"/>
      <c r="F105" s="1"/>
      <c r="G105" s="1"/>
      <c r="H105" s="1"/>
      <c r="I105" s="1"/>
      <c r="J105" s="1"/>
      <c r="K105" s="1"/>
      <c r="L105" s="1"/>
    </row>
    <row r="106" spans="1:12">
      <c r="A106" s="2" t="s">
        <v>49</v>
      </c>
      <c r="B106" s="12">
        <f>SUM(B104:B105)</f>
        <v>162509.49000000005</v>
      </c>
      <c r="C106" s="12">
        <f>SUM(C104:C105)</f>
        <v>112150.96111171876</v>
      </c>
      <c r="D106" s="12">
        <f>SUM(D104:D105)</f>
        <v>295386</v>
      </c>
      <c r="E106" s="2"/>
      <c r="F106" s="2"/>
      <c r="G106" s="2"/>
      <c r="H106" s="2"/>
      <c r="I106" s="2"/>
      <c r="J106" s="2"/>
      <c r="K106" s="2"/>
      <c r="L106" s="2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20" t="s">
        <v>59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 t="s">
        <v>6</v>
      </c>
      <c r="B109" s="6">
        <v>24156</v>
      </c>
      <c r="C109" s="6">
        <v>10266</v>
      </c>
      <c r="D109" s="6">
        <v>25968</v>
      </c>
      <c r="E109" s="1"/>
      <c r="F109" s="1"/>
      <c r="G109" s="1"/>
      <c r="H109" s="1"/>
      <c r="I109" s="1"/>
      <c r="J109" s="1"/>
      <c r="K109" s="1"/>
      <c r="L109" s="1"/>
    </row>
    <row r="110" spans="1:12">
      <c r="A110" s="1" t="s">
        <v>7</v>
      </c>
      <c r="B110" s="11">
        <v>19.32</v>
      </c>
      <c r="C110" s="11">
        <v>19.32</v>
      </c>
      <c r="D110" s="6">
        <v>22</v>
      </c>
      <c r="E110" s="1"/>
      <c r="F110" s="1"/>
      <c r="G110" s="1"/>
      <c r="H110" s="1"/>
      <c r="I110" s="1"/>
      <c r="J110" s="1"/>
      <c r="K110" s="1"/>
      <c r="L110" s="1"/>
    </row>
    <row r="111" spans="1:12">
      <c r="A111" s="1" t="s">
        <v>46</v>
      </c>
      <c r="B111" s="6">
        <f>B109*B110</f>
        <v>466693.92</v>
      </c>
      <c r="C111" s="6">
        <f>C109*C110</f>
        <v>198339.12</v>
      </c>
      <c r="D111" s="6">
        <f>D109*D110</f>
        <v>571296</v>
      </c>
      <c r="E111" s="1"/>
      <c r="F111" s="1"/>
      <c r="G111" s="1"/>
      <c r="H111" s="1"/>
      <c r="I111" s="1"/>
      <c r="J111" s="1"/>
      <c r="K111" s="1"/>
      <c r="L111" s="1"/>
    </row>
    <row r="112" spans="1:12">
      <c r="A112" s="1" t="s">
        <v>51</v>
      </c>
      <c r="B112" s="6">
        <v>0</v>
      </c>
      <c r="C112" s="6">
        <f>C111*2.5%</f>
        <v>4958.4780000000001</v>
      </c>
      <c r="D112" s="6">
        <f>2*D109</f>
        <v>51936</v>
      </c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6">
        <f>SUM(B111:B112)</f>
        <v>466693.92</v>
      </c>
      <c r="C113" s="6">
        <f>SUM(C111:C112)</f>
        <v>203297.598</v>
      </c>
      <c r="D113" s="6">
        <f>SUM(D111:D112)</f>
        <v>623232</v>
      </c>
      <c r="E113" s="1"/>
      <c r="F113" s="1"/>
      <c r="G113" s="1"/>
      <c r="H113" s="1"/>
      <c r="I113" s="1"/>
      <c r="J113" s="1"/>
      <c r="K113" s="1"/>
      <c r="L113" s="1"/>
    </row>
    <row r="114" spans="1:12">
      <c r="A114" s="1" t="s">
        <v>54</v>
      </c>
      <c r="B114" s="6">
        <v>0</v>
      </c>
      <c r="C114" s="9">
        <f>C113*2.5%</f>
        <v>5082.43995</v>
      </c>
      <c r="D114" s="1">
        <v>0</v>
      </c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8">
        <f>SUM(B113:B114)</f>
        <v>466693.92</v>
      </c>
      <c r="C115" s="8">
        <f>SUM(C113:C114)</f>
        <v>208380.03795</v>
      </c>
      <c r="D115" s="8">
        <f>SUM(D113:D114)</f>
        <v>623232</v>
      </c>
      <c r="E115" s="1"/>
      <c r="F115" s="1"/>
      <c r="G115" s="1"/>
      <c r="H115" s="1"/>
      <c r="I115" s="1"/>
      <c r="J115" s="1"/>
      <c r="K115" s="1"/>
      <c r="L115" s="1"/>
    </row>
    <row r="116" spans="1:12">
      <c r="A116" s="1" t="s">
        <v>57</v>
      </c>
      <c r="B116" s="1">
        <v>0</v>
      </c>
      <c r="C116" s="9">
        <f>C115*2.5%</f>
        <v>5209.5009487500001</v>
      </c>
      <c r="D116" s="1">
        <v>0</v>
      </c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8">
        <f>SUM(B115:B116)</f>
        <v>466693.92</v>
      </c>
      <c r="C117" s="8">
        <f>SUM(C115:C116)</f>
        <v>213589.53889875</v>
      </c>
      <c r="D117" s="8">
        <f>SUM(D115:D116)</f>
        <v>623232</v>
      </c>
      <c r="E117" s="1"/>
      <c r="F117" s="1"/>
      <c r="G117" s="1"/>
      <c r="H117" s="1"/>
      <c r="I117" s="1"/>
      <c r="J117" s="1"/>
      <c r="K117" s="1"/>
      <c r="L117" s="1"/>
    </row>
    <row r="118" spans="1:12">
      <c r="A118" s="1" t="s">
        <v>58</v>
      </c>
      <c r="B118" s="1">
        <v>0</v>
      </c>
      <c r="C118" s="1">
        <v>0</v>
      </c>
      <c r="D118" s="8">
        <f>2*D109</f>
        <v>51936</v>
      </c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8">
        <f>SUM(B117:B118)</f>
        <v>466693.92</v>
      </c>
      <c r="C119" s="8">
        <f>SUM(C117:C118)</f>
        <v>213589.53889875</v>
      </c>
      <c r="D119" s="8">
        <f>SUM(D117:D118)</f>
        <v>675168</v>
      </c>
      <c r="E119" s="1"/>
      <c r="F119" s="1"/>
      <c r="G119" s="1"/>
      <c r="H119" s="1"/>
      <c r="I119" s="1"/>
      <c r="J119" s="1"/>
      <c r="K119" s="1"/>
      <c r="L119" s="1"/>
    </row>
    <row r="120" spans="1:12">
      <c r="A120" s="1" t="s">
        <v>55</v>
      </c>
      <c r="B120" s="8">
        <f>-10%*B119</f>
        <v>-46669.392</v>
      </c>
      <c r="C120" s="9">
        <f>-5%*C119</f>
        <v>-10679.476944937502</v>
      </c>
      <c r="D120" s="1">
        <v>0</v>
      </c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8">
        <f>SUM(B119:B120)</f>
        <v>420024.52799999999</v>
      </c>
      <c r="C121" s="8">
        <f>SUM(C119:C120)</f>
        <v>202910.06195381249</v>
      </c>
      <c r="D121" s="8">
        <f>SUM(D119:D120)</f>
        <v>675168</v>
      </c>
      <c r="E121" s="1"/>
      <c r="F121" s="1"/>
      <c r="G121" s="1"/>
      <c r="H121" s="1"/>
      <c r="I121" s="1"/>
      <c r="J121" s="1"/>
      <c r="K121" s="1"/>
      <c r="L121" s="1"/>
    </row>
    <row r="122" spans="1:12">
      <c r="A122" s="1" t="s">
        <v>60</v>
      </c>
      <c r="B122" s="1">
        <v>0</v>
      </c>
      <c r="C122" s="9">
        <f>2.5%*C121</f>
        <v>5072.7515488453128</v>
      </c>
      <c r="D122" s="1">
        <v>0</v>
      </c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8">
        <f>SUM(B121:B122)</f>
        <v>420024.52799999999</v>
      </c>
      <c r="C123" s="8">
        <f>SUM(C121:C122)</f>
        <v>207982.81350265781</v>
      </c>
      <c r="D123" s="8">
        <f>SUM(D121:D122)</f>
        <v>675168</v>
      </c>
      <c r="E123" s="1"/>
      <c r="F123" s="1"/>
      <c r="G123" s="1"/>
      <c r="H123" s="1"/>
      <c r="I123" s="1"/>
      <c r="J123" s="1"/>
      <c r="K123" s="1"/>
      <c r="L123" s="1"/>
    </row>
    <row r="124" spans="1:12">
      <c r="A124" s="1" t="s">
        <v>47</v>
      </c>
      <c r="B124" s="1">
        <v>-205326</v>
      </c>
      <c r="C124" s="1">
        <v>-87261</v>
      </c>
      <c r="D124" s="1">
        <v>-220728</v>
      </c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8">
        <f>SUM(B123:B124)</f>
        <v>214698.52799999999</v>
      </c>
      <c r="C125" s="8">
        <f>SUM(C123:C124)</f>
        <v>120721.81350265781</v>
      </c>
      <c r="D125" s="8">
        <f>SUM(D123:D124)</f>
        <v>454440</v>
      </c>
      <c r="E125" s="1"/>
      <c r="F125" s="1"/>
      <c r="G125" s="1"/>
      <c r="H125" s="1"/>
      <c r="I125" s="1"/>
      <c r="J125" s="1"/>
      <c r="K125" s="1"/>
      <c r="L125" s="1"/>
    </row>
    <row r="126" spans="1:12">
      <c r="A126" s="1" t="s">
        <v>48</v>
      </c>
      <c r="B126" s="9">
        <f>-35%*B125</f>
        <v>-75144.484799999991</v>
      </c>
      <c r="C126" s="9">
        <f>-35%*C125</f>
        <v>-42252.634725930227</v>
      </c>
      <c r="D126" s="9">
        <f>-35%*D125</f>
        <v>-159054</v>
      </c>
      <c r="E126" s="1"/>
      <c r="F126" s="1"/>
      <c r="G126" s="1"/>
      <c r="H126" s="1"/>
      <c r="I126" s="1"/>
      <c r="J126" s="1"/>
      <c r="K126" s="1"/>
      <c r="L126" s="1"/>
    </row>
    <row r="127" spans="1:12">
      <c r="A127" s="2" t="s">
        <v>49</v>
      </c>
      <c r="B127" s="10">
        <f>SUM(B125:B126)</f>
        <v>139554.04320000001</v>
      </c>
      <c r="C127" s="10">
        <f>SUM(C125:C126)</f>
        <v>78469.178776727582</v>
      </c>
      <c r="D127" s="10">
        <f>SUM(D125:D126)</f>
        <v>295386</v>
      </c>
      <c r="E127" s="2"/>
      <c r="F127" s="2"/>
      <c r="G127" s="2"/>
      <c r="H127" s="2"/>
      <c r="I127" s="2"/>
      <c r="J127" s="2"/>
      <c r="K127" s="2"/>
      <c r="L127" s="2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20" t="s">
        <v>61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s="28" customFormat="1">
      <c r="A130" s="19" t="s">
        <v>6</v>
      </c>
      <c r="B130" s="29">
        <v>24156</v>
      </c>
      <c r="C130" s="29">
        <v>10266</v>
      </c>
      <c r="D130" s="29">
        <v>25968</v>
      </c>
      <c r="E130" s="19"/>
      <c r="F130" s="19"/>
      <c r="G130" s="19"/>
      <c r="H130" s="19"/>
      <c r="I130" s="19"/>
      <c r="J130" s="19"/>
      <c r="K130" s="19"/>
      <c r="L130" s="19"/>
    </row>
    <row r="131" spans="1:12" s="28" customFormat="1">
      <c r="A131" s="19" t="s">
        <v>7</v>
      </c>
      <c r="B131" s="25">
        <v>19.809999999999999</v>
      </c>
      <c r="C131" s="25">
        <v>19.809999999999999</v>
      </c>
      <c r="D131" s="29">
        <v>22</v>
      </c>
      <c r="E131" s="19"/>
      <c r="F131" s="19"/>
      <c r="G131" s="19"/>
      <c r="H131" s="19"/>
      <c r="I131" s="19"/>
      <c r="J131" s="19"/>
      <c r="K131" s="19"/>
      <c r="L131" s="19"/>
    </row>
    <row r="132" spans="1:12" s="28" customFormat="1">
      <c r="A132" s="19" t="s">
        <v>46</v>
      </c>
      <c r="B132" s="29">
        <f>B130*B131</f>
        <v>478530.36</v>
      </c>
      <c r="C132" s="29">
        <f>C130*C131</f>
        <v>203369.46</v>
      </c>
      <c r="D132" s="29">
        <f>D130*D131</f>
        <v>571296</v>
      </c>
      <c r="E132" s="19"/>
      <c r="F132" s="19"/>
      <c r="G132" s="19"/>
      <c r="H132" s="19"/>
      <c r="I132" s="19"/>
      <c r="J132" s="19"/>
      <c r="K132" s="19"/>
      <c r="L132" s="19"/>
    </row>
    <row r="133" spans="1:12" s="28" customFormat="1">
      <c r="A133" s="19" t="s">
        <v>51</v>
      </c>
      <c r="B133" s="29">
        <v>0</v>
      </c>
      <c r="C133" s="29">
        <f>C132*2.5%</f>
        <v>5084.2365</v>
      </c>
      <c r="D133" s="29">
        <f>2*D130</f>
        <v>51936</v>
      </c>
      <c r="E133" s="19"/>
      <c r="F133" s="19"/>
      <c r="G133" s="19"/>
      <c r="H133" s="19"/>
      <c r="I133" s="19"/>
      <c r="J133" s="19"/>
      <c r="K133" s="19"/>
      <c r="L133" s="19"/>
    </row>
    <row r="134" spans="1:12" s="28" customFormat="1">
      <c r="A134" s="19"/>
      <c r="B134" s="29">
        <f>SUM(B132:B133)</f>
        <v>478530.36</v>
      </c>
      <c r="C134" s="29">
        <f>SUM(C132:C133)</f>
        <v>208453.69649999999</v>
      </c>
      <c r="D134" s="29">
        <f>SUM(D132:D133)</f>
        <v>623232</v>
      </c>
      <c r="E134" s="19"/>
      <c r="F134" s="19"/>
      <c r="G134" s="19"/>
      <c r="H134" s="19"/>
      <c r="I134" s="19"/>
      <c r="J134" s="19"/>
      <c r="K134" s="19"/>
      <c r="L134" s="19"/>
    </row>
    <row r="135" spans="1:12" s="28" customFormat="1">
      <c r="A135" s="19" t="s">
        <v>54</v>
      </c>
      <c r="B135" s="29">
        <v>0</v>
      </c>
      <c r="C135" s="32">
        <f>C134*2.5%</f>
        <v>5211.3424125000001</v>
      </c>
      <c r="D135" s="19">
        <v>0</v>
      </c>
      <c r="E135" s="19"/>
      <c r="F135" s="19"/>
      <c r="G135" s="19"/>
      <c r="H135" s="19"/>
      <c r="I135" s="19"/>
      <c r="J135" s="19"/>
      <c r="K135" s="19"/>
      <c r="L135" s="19"/>
    </row>
    <row r="136" spans="1:12" s="28" customFormat="1">
      <c r="A136" s="19"/>
      <c r="B136" s="31">
        <f>SUM(B134:B135)</f>
        <v>478530.36</v>
      </c>
      <c r="C136" s="31">
        <f>SUM(C134:C135)</f>
        <v>213665.03891249999</v>
      </c>
      <c r="D136" s="31">
        <f>SUM(D134:D135)</f>
        <v>623232</v>
      </c>
      <c r="E136" s="26" t="s">
        <v>105</v>
      </c>
      <c r="F136" s="19"/>
      <c r="G136" s="19"/>
      <c r="H136" s="19"/>
      <c r="I136" s="19"/>
      <c r="J136" s="19"/>
      <c r="K136" s="19"/>
      <c r="L136" s="19"/>
    </row>
    <row r="137" spans="1:12" s="28" customFormat="1">
      <c r="A137" s="19" t="s">
        <v>57</v>
      </c>
      <c r="B137" s="19">
        <v>0</v>
      </c>
      <c r="C137" s="32">
        <f>C136*2.5%</f>
        <v>5341.6259728125005</v>
      </c>
      <c r="D137" s="19">
        <v>0</v>
      </c>
      <c r="E137" s="19"/>
      <c r="F137" s="19"/>
      <c r="G137" s="19"/>
      <c r="H137" s="19"/>
      <c r="I137" s="19"/>
      <c r="J137" s="19"/>
      <c r="K137" s="19"/>
      <c r="L137" s="19"/>
    </row>
    <row r="138" spans="1:12" s="28" customFormat="1">
      <c r="A138" s="19"/>
      <c r="B138" s="31">
        <f>SUM(B136:B137)</f>
        <v>478530.36</v>
      </c>
      <c r="C138" s="31">
        <f>SUM(C136:C137)</f>
        <v>219006.66488531249</v>
      </c>
      <c r="D138" s="31">
        <f>SUM(D136:D137)</f>
        <v>623232</v>
      </c>
      <c r="E138" s="19"/>
      <c r="F138" s="19"/>
      <c r="G138" s="19"/>
      <c r="H138" s="19"/>
      <c r="I138" s="19"/>
      <c r="J138" s="19"/>
      <c r="K138" s="19"/>
      <c r="L138" s="19"/>
    </row>
    <row r="139" spans="1:12" s="28" customFormat="1">
      <c r="A139" s="19" t="s">
        <v>58</v>
      </c>
      <c r="B139" s="19">
        <v>0</v>
      </c>
      <c r="C139" s="19">
        <v>0</v>
      </c>
      <c r="D139" s="31">
        <f>2*D130</f>
        <v>51936</v>
      </c>
      <c r="E139" s="19"/>
      <c r="F139" s="19"/>
      <c r="G139" s="19"/>
      <c r="H139" s="19"/>
      <c r="I139" s="19"/>
      <c r="J139" s="19"/>
      <c r="K139" s="19"/>
      <c r="L139" s="19"/>
    </row>
    <row r="140" spans="1:12" s="28" customFormat="1">
      <c r="A140" s="19"/>
      <c r="B140" s="31">
        <f>SUM(B138:B139)</f>
        <v>478530.36</v>
      </c>
      <c r="C140" s="31">
        <f>SUM(C138:C139)</f>
        <v>219006.66488531249</v>
      </c>
      <c r="D140" s="31">
        <f>SUM(D138:D139)</f>
        <v>675168</v>
      </c>
      <c r="E140" s="19"/>
      <c r="F140" s="19"/>
      <c r="G140" s="19"/>
      <c r="H140" s="19"/>
      <c r="I140" s="19"/>
      <c r="J140" s="19"/>
      <c r="K140" s="19"/>
      <c r="L140" s="19"/>
    </row>
    <row r="141" spans="1:12" s="28" customFormat="1">
      <c r="A141" s="19" t="s">
        <v>55</v>
      </c>
      <c r="B141" s="31">
        <f>-10%*B140</f>
        <v>-47853.036</v>
      </c>
      <c r="C141" s="32">
        <f>-5%*C140</f>
        <v>-10950.333244265625</v>
      </c>
      <c r="D141" s="19">
        <v>0</v>
      </c>
      <c r="E141" s="19"/>
      <c r="F141" s="19"/>
      <c r="G141" s="19"/>
      <c r="H141" s="19"/>
      <c r="I141" s="19"/>
      <c r="J141" s="19"/>
      <c r="K141" s="19"/>
      <c r="L141" s="19"/>
    </row>
    <row r="142" spans="1:12" s="28" customFormat="1">
      <c r="A142" s="19"/>
      <c r="B142" s="31">
        <f>SUM(B140:B141)</f>
        <v>430677.32399999996</v>
      </c>
      <c r="C142" s="31">
        <f>SUM(C140:C141)</f>
        <v>208056.33164104685</v>
      </c>
      <c r="D142" s="31">
        <f>SUM(D140:D141)</f>
        <v>675168</v>
      </c>
      <c r="E142" s="19"/>
      <c r="F142" s="19"/>
      <c r="G142" s="19"/>
      <c r="H142" s="19"/>
      <c r="I142" s="19"/>
      <c r="J142" s="19"/>
      <c r="K142" s="19"/>
      <c r="L142" s="19"/>
    </row>
    <row r="143" spans="1:12" s="28" customFormat="1">
      <c r="A143" s="19" t="s">
        <v>60</v>
      </c>
      <c r="B143" s="19">
        <v>0</v>
      </c>
      <c r="C143" s="32">
        <f>2.5%*C142</f>
        <v>5201.4082910261714</v>
      </c>
      <c r="D143" s="19">
        <v>0</v>
      </c>
      <c r="E143" s="19"/>
      <c r="F143" s="19"/>
      <c r="G143" s="19"/>
      <c r="H143" s="19"/>
      <c r="I143" s="19"/>
      <c r="J143" s="19"/>
      <c r="K143" s="19"/>
      <c r="L143" s="19"/>
    </row>
    <row r="144" spans="1:12" s="28" customFormat="1">
      <c r="A144" s="19"/>
      <c r="B144" s="31">
        <f>SUM(B142:B143)</f>
        <v>430677.32399999996</v>
      </c>
      <c r="C144" s="31">
        <f>SUM(C142:C143)</f>
        <v>213257.73993207302</v>
      </c>
      <c r="D144" s="31">
        <f>SUM(D142:D143)</f>
        <v>675168</v>
      </c>
      <c r="E144" s="19"/>
      <c r="F144" s="19"/>
      <c r="G144" s="19"/>
      <c r="H144" s="19"/>
      <c r="I144" s="19"/>
      <c r="J144" s="19"/>
      <c r="K144" s="19"/>
      <c r="L144" s="19"/>
    </row>
    <row r="145" spans="1:12" s="28" customFormat="1">
      <c r="A145" s="19" t="s">
        <v>62</v>
      </c>
      <c r="B145" s="19">
        <v>0</v>
      </c>
      <c r="C145" s="32">
        <f>2.5%*C144</f>
        <v>5331.4434983018255</v>
      </c>
      <c r="D145" s="19">
        <v>0</v>
      </c>
      <c r="E145" s="19"/>
      <c r="F145" s="19"/>
      <c r="G145" s="19"/>
      <c r="H145" s="19"/>
      <c r="I145" s="19"/>
      <c r="J145" s="19"/>
      <c r="K145" s="19"/>
      <c r="L145" s="19"/>
    </row>
    <row r="146" spans="1:12" s="28" customFormat="1">
      <c r="A146" s="19"/>
      <c r="B146" s="31">
        <f>SUM(B144:B145)</f>
        <v>430677.32399999996</v>
      </c>
      <c r="C146" s="31">
        <f>SUM(C144:C145)</f>
        <v>218589.18343037483</v>
      </c>
      <c r="D146" s="31">
        <f>SUM(D144:D145)</f>
        <v>675168</v>
      </c>
      <c r="E146" s="19"/>
      <c r="F146" s="19"/>
      <c r="G146" s="19"/>
      <c r="H146" s="19"/>
      <c r="I146" s="19"/>
      <c r="J146" s="19"/>
      <c r="K146" s="19"/>
      <c r="L146" s="19"/>
    </row>
    <row r="147" spans="1:12" s="28" customFormat="1">
      <c r="A147" s="19" t="s">
        <v>47</v>
      </c>
      <c r="B147" s="19">
        <v>-205326</v>
      </c>
      <c r="C147" s="19">
        <v>-87261</v>
      </c>
      <c r="D147" s="19">
        <v>-220728</v>
      </c>
      <c r="E147" s="19"/>
      <c r="F147" s="19"/>
      <c r="G147" s="19"/>
      <c r="H147" s="19"/>
      <c r="I147" s="19"/>
      <c r="J147" s="19"/>
      <c r="K147" s="19"/>
      <c r="L147" s="19"/>
    </row>
    <row r="148" spans="1:12" s="28" customFormat="1">
      <c r="A148" s="19"/>
      <c r="B148" s="31">
        <f>SUM(B146:B147)</f>
        <v>225351.32399999996</v>
      </c>
      <c r="C148" s="31">
        <f>SUM(C146:C147)</f>
        <v>131328.18343037483</v>
      </c>
      <c r="D148" s="31">
        <f>SUM(D146:D147)</f>
        <v>454440</v>
      </c>
      <c r="E148" s="19"/>
      <c r="F148" s="19"/>
      <c r="G148" s="19"/>
      <c r="H148" s="19"/>
      <c r="I148" s="19"/>
      <c r="J148" s="19"/>
      <c r="K148" s="19"/>
      <c r="L148" s="19"/>
    </row>
    <row r="149" spans="1:12" s="28" customFormat="1">
      <c r="A149" s="19" t="s">
        <v>48</v>
      </c>
      <c r="B149" s="32">
        <f>-35%*B148</f>
        <v>-78872.963399999979</v>
      </c>
      <c r="C149" s="32">
        <f>-35%*C148</f>
        <v>-45964.864200631186</v>
      </c>
      <c r="D149" s="32">
        <f>-35%*D148</f>
        <v>-159054</v>
      </c>
      <c r="E149" s="19"/>
      <c r="F149" s="19"/>
      <c r="G149" s="19"/>
      <c r="H149" s="19"/>
      <c r="I149" s="19"/>
      <c r="J149" s="19"/>
      <c r="K149" s="19"/>
      <c r="L149" s="19"/>
    </row>
    <row r="150" spans="1:12" s="28" customFormat="1">
      <c r="A150" s="26" t="s">
        <v>49</v>
      </c>
      <c r="B150" s="33">
        <f>SUM(B148:B149)</f>
        <v>146478.36059999999</v>
      </c>
      <c r="C150" s="33">
        <f>SUM(C148:C149)</f>
        <v>85363.319229743647</v>
      </c>
      <c r="D150" s="33">
        <f>SUM(D148:D149)</f>
        <v>295386</v>
      </c>
      <c r="E150" s="26"/>
      <c r="F150" s="26"/>
      <c r="G150" s="26"/>
      <c r="H150" s="26"/>
      <c r="I150" s="26"/>
      <c r="J150" s="26"/>
      <c r="K150" s="26"/>
      <c r="L150" s="26"/>
    </row>
    <row r="151" spans="1:12" s="28" customForma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 t="s">
        <v>63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 t="s">
        <v>64</v>
      </c>
      <c r="B154" s="26">
        <v>19.75</v>
      </c>
      <c r="C154" s="26" t="s">
        <v>103</v>
      </c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 t="s">
        <v>18</v>
      </c>
      <c r="B155" s="4">
        <v>3.5000000000000003E-2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 t="s">
        <v>65</v>
      </c>
      <c r="B156" s="13">
        <f>B154-(B154*B155)</f>
        <v>19.05875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 t="s">
        <v>66</v>
      </c>
      <c r="B157" s="13">
        <f>B156-(B156*3.5%)</f>
        <v>18.391693749999998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 t="s">
        <v>67</v>
      </c>
      <c r="B159" s="4">
        <v>2.5000000000000001E-2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 t="s">
        <v>68</v>
      </c>
      <c r="B160" s="13">
        <f>B157+(B157*B159)</f>
        <v>18.851486093749998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 t="s">
        <v>69</v>
      </c>
      <c r="B161" s="13">
        <f>B160+(B160*B159)</f>
        <v>19.322773246093746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 t="s">
        <v>70</v>
      </c>
      <c r="B162" s="13">
        <f>B161+(B161*B159)</f>
        <v>19.805842577246089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20" t="s">
        <v>71</v>
      </c>
      <c r="B164" s="20" t="s">
        <v>5</v>
      </c>
      <c r="C164" s="20" t="s">
        <v>9</v>
      </c>
      <c r="D164" s="20" t="s">
        <v>11</v>
      </c>
      <c r="E164" s="20" t="s">
        <v>72</v>
      </c>
      <c r="F164" s="20" t="s">
        <v>73</v>
      </c>
      <c r="G164" s="20" t="s">
        <v>72</v>
      </c>
      <c r="H164" s="20" t="s">
        <v>74</v>
      </c>
      <c r="I164" s="2"/>
      <c r="J164" s="2"/>
      <c r="K164" s="2"/>
      <c r="L164" s="2"/>
    </row>
    <row r="165" spans="1:12">
      <c r="A165" s="21" t="s">
        <v>45</v>
      </c>
      <c r="B165" s="22">
        <v>259073.1</v>
      </c>
      <c r="C165" s="22">
        <v>100093.5</v>
      </c>
      <c r="D165" s="22">
        <v>227869.2</v>
      </c>
      <c r="E165" s="23">
        <f t="shared" ref="E165:E171" si="0">SUM(B165:D165)</f>
        <v>587035.80000000005</v>
      </c>
      <c r="F165" s="23">
        <v>150000</v>
      </c>
      <c r="G165" s="23">
        <f>E165-F165</f>
        <v>437035.80000000005</v>
      </c>
      <c r="H165" s="22">
        <f>G165/(1+0.1)^1</f>
        <v>397305.27272727276</v>
      </c>
      <c r="I165" s="1"/>
      <c r="J165" s="1"/>
      <c r="K165" s="1"/>
      <c r="L165" s="1"/>
    </row>
    <row r="166" spans="1:12">
      <c r="A166" s="21" t="s">
        <v>50</v>
      </c>
      <c r="B166" s="22">
        <v>259073.1</v>
      </c>
      <c r="C166" s="22">
        <v>104013.82875</v>
      </c>
      <c r="D166" s="22">
        <v>261627.6</v>
      </c>
      <c r="E166" s="23">
        <f t="shared" si="0"/>
        <v>624714.52875000006</v>
      </c>
      <c r="F166" s="23">
        <v>150000</v>
      </c>
      <c r="G166" s="23">
        <f>E166-F166</f>
        <v>474714.52875000006</v>
      </c>
      <c r="H166" s="22">
        <f>G166/(1+0.1)^2</f>
        <v>392326.05681818182</v>
      </c>
      <c r="I166" s="1"/>
      <c r="J166" s="1"/>
      <c r="K166" s="1"/>
      <c r="L166" s="1"/>
    </row>
    <row r="167" spans="1:12">
      <c r="A167" s="21" t="s">
        <v>53</v>
      </c>
      <c r="B167" s="22">
        <v>140849.40870000003</v>
      </c>
      <c r="C167" s="22">
        <v>108032.16571875001</v>
      </c>
      <c r="D167" s="22">
        <v>261627.6</v>
      </c>
      <c r="E167" s="23">
        <f t="shared" si="0"/>
        <v>510509.17441875004</v>
      </c>
      <c r="F167" s="23">
        <v>150000</v>
      </c>
      <c r="G167" s="23">
        <f t="shared" ref="G167:G171" si="1">E167-F167</f>
        <v>360509.17441875004</v>
      </c>
      <c r="H167" s="22">
        <f>G167/(1+0.1)^3</f>
        <v>270855.87860161526</v>
      </c>
      <c r="I167" s="1"/>
      <c r="J167" s="1"/>
      <c r="K167" s="1"/>
      <c r="L167" s="1"/>
    </row>
    <row r="168" spans="1:12">
      <c r="A168" s="21" t="s">
        <v>56</v>
      </c>
      <c r="B168" s="22">
        <v>162509.49000000005</v>
      </c>
      <c r="C168" s="22">
        <v>112150.96111171876</v>
      </c>
      <c r="D168" s="22">
        <v>295386</v>
      </c>
      <c r="E168" s="23">
        <f t="shared" si="0"/>
        <v>570046.45111171878</v>
      </c>
      <c r="F168" s="23">
        <v>0</v>
      </c>
      <c r="G168" s="23">
        <f t="shared" si="1"/>
        <v>570046.45111171878</v>
      </c>
      <c r="H168" s="22">
        <f>G168/(1+0.1)^4</f>
        <v>389349.39629241079</v>
      </c>
      <c r="I168" s="1"/>
      <c r="J168" s="1"/>
      <c r="K168" s="1"/>
      <c r="L168" s="1"/>
    </row>
    <row r="169" spans="1:12">
      <c r="A169" s="21" t="s">
        <v>59</v>
      </c>
      <c r="B169" s="22">
        <v>139554.04320000001</v>
      </c>
      <c r="C169" s="22">
        <v>78469.178776727582</v>
      </c>
      <c r="D169" s="22">
        <v>295386</v>
      </c>
      <c r="E169" s="23">
        <f t="shared" si="0"/>
        <v>513409.2219767276</v>
      </c>
      <c r="F169" s="23">
        <v>0</v>
      </c>
      <c r="G169" s="23">
        <f t="shared" si="1"/>
        <v>513409.2219767276</v>
      </c>
      <c r="H169" s="22">
        <f>G169/(1+0.1)^5</f>
        <v>318786.73338056105</v>
      </c>
      <c r="I169" s="1"/>
      <c r="J169" s="1"/>
      <c r="K169" s="1"/>
      <c r="L169" s="1"/>
    </row>
    <row r="170" spans="1:12">
      <c r="A170" s="21" t="s">
        <v>61</v>
      </c>
      <c r="B170" s="22">
        <v>146478.36059999999</v>
      </c>
      <c r="C170" s="22">
        <v>85363.319229743647</v>
      </c>
      <c r="D170" s="22">
        <v>295386</v>
      </c>
      <c r="E170" s="23">
        <f t="shared" si="0"/>
        <v>527227.67982974369</v>
      </c>
      <c r="F170" s="23">
        <v>0</v>
      </c>
      <c r="G170" s="23">
        <f t="shared" si="1"/>
        <v>527227.67982974369</v>
      </c>
      <c r="H170" s="22">
        <f>G170/(1+0.1)^6</f>
        <v>297606.28046662995</v>
      </c>
      <c r="I170" s="1"/>
      <c r="J170" s="1"/>
      <c r="K170" s="1"/>
      <c r="L170" s="1"/>
    </row>
    <row r="171" spans="1:12">
      <c r="A171" s="20" t="s">
        <v>72</v>
      </c>
      <c r="B171" s="23">
        <f>SUM(B165:B170)</f>
        <v>1107537.5024999999</v>
      </c>
      <c r="C171" s="23">
        <f>SUM(C165:C170)</f>
        <v>588122.95358693996</v>
      </c>
      <c r="D171" s="23">
        <f>SUM(D165:D170)</f>
        <v>1637282.4</v>
      </c>
      <c r="E171" s="23">
        <f t="shared" si="0"/>
        <v>3332942.8560869396</v>
      </c>
      <c r="F171" s="23">
        <f>SUM(F165:F170)</f>
        <v>450000</v>
      </c>
      <c r="G171" s="23">
        <f t="shared" si="1"/>
        <v>2882942.8560869396</v>
      </c>
      <c r="H171" s="24">
        <f>SUM(H165:H170)</f>
        <v>2066229.6182866716</v>
      </c>
      <c r="I171" s="2"/>
      <c r="J171" s="2"/>
      <c r="K171" s="2"/>
      <c r="L171" s="2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 t="s">
        <v>75</v>
      </c>
      <c r="B173" s="26" t="s">
        <v>104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 t="s">
        <v>76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 t="s">
        <v>77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 t="s">
        <v>74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 t="s">
        <v>45</v>
      </c>
      <c r="B178" s="14">
        <v>397305.27272727276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 t="s">
        <v>50</v>
      </c>
      <c r="B179" s="14">
        <v>392326.05681818182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 t="s">
        <v>53</v>
      </c>
      <c r="B180" s="14">
        <v>270855.87860161526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 t="s">
        <v>56</v>
      </c>
      <c r="B181" s="14">
        <v>389349.39629241079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 t="s">
        <v>59</v>
      </c>
      <c r="B182" s="14">
        <v>318786.73338056105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2" t="s">
        <v>78</v>
      </c>
      <c r="B183" s="15">
        <f>SUM(B178:B182)</f>
        <v>1768623.3378200417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 t="s">
        <v>79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6" t="s">
        <v>80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 t="s">
        <v>81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6" t="s">
        <v>82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 t="s">
        <v>83</v>
      </c>
      <c r="C190" s="1" t="s">
        <v>79</v>
      </c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 t="s">
        <v>45</v>
      </c>
      <c r="B191" s="14">
        <v>437035.80000000005</v>
      </c>
      <c r="C191" s="14">
        <f>B191/(1+0.1)^1</f>
        <v>397305.27272727276</v>
      </c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 t="s">
        <v>50</v>
      </c>
      <c r="B192" s="14">
        <v>474714.52875000006</v>
      </c>
      <c r="C192" s="14">
        <f>B192/(1+0.1)^2</f>
        <v>392326.05681818182</v>
      </c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 t="s">
        <v>53</v>
      </c>
      <c r="B193" s="14">
        <v>360509.17441875004</v>
      </c>
      <c r="C193" s="14">
        <f>B193/(1+0.1)^3</f>
        <v>270855.87860161526</v>
      </c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 t="s">
        <v>56</v>
      </c>
      <c r="B194" s="14">
        <v>570046.45111171878</v>
      </c>
      <c r="C194" s="14">
        <f>B194/(1+0.1)^4</f>
        <v>389349.39629241079</v>
      </c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 t="s">
        <v>59</v>
      </c>
      <c r="B195" s="14">
        <v>513409.2219767276</v>
      </c>
      <c r="C195" s="14">
        <f>B195/(1+0.1)^5</f>
        <v>318786.73338056105</v>
      </c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4">
        <f>SUM(C191:C195)</f>
        <v>1768623.3378200417</v>
      </c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 t="s">
        <v>84</v>
      </c>
      <c r="B197" s="1"/>
      <c r="C197" s="9">
        <f>B204</f>
        <v>8315703</v>
      </c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2" t="s">
        <v>79</v>
      </c>
      <c r="B198" s="2"/>
      <c r="C198" s="12">
        <f>C196-C197</f>
        <v>-6547079.6621799581</v>
      </c>
      <c r="D198" s="2"/>
      <c r="E198" s="2"/>
      <c r="F198" s="2"/>
      <c r="G198" s="2"/>
      <c r="H198" s="2"/>
      <c r="I198" s="2"/>
      <c r="J198" s="2"/>
      <c r="K198" s="2"/>
      <c r="L198" s="2"/>
    </row>
    <row r="199" spans="1:12">
      <c r="A199" s="1"/>
      <c r="B199" s="1"/>
      <c r="C199" s="9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9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 t="s">
        <v>85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 t="s">
        <v>86</v>
      </c>
      <c r="B202" s="14">
        <f>60390*135</f>
        <v>8152650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 t="s">
        <v>2</v>
      </c>
      <c r="B203" s="14">
        <f>2%*B202</f>
        <v>163053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 t="s">
        <v>72</v>
      </c>
      <c r="B204" s="14">
        <f>SUM(B202:B203)</f>
        <v>8315703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2" t="s">
        <v>87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 t="s">
        <v>88</v>
      </c>
      <c r="B207" s="1">
        <v>30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 t="s">
        <v>89</v>
      </c>
      <c r="B208" s="4">
        <v>7.4999999999999997E-2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 t="s">
        <v>90</v>
      </c>
      <c r="B209" s="3">
        <v>0.75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 t="s">
        <v>91</v>
      </c>
      <c r="B211" s="14">
        <v>8315703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 t="s">
        <v>90</v>
      </c>
      <c r="B212" s="3">
        <v>0.75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 t="s">
        <v>92</v>
      </c>
      <c r="B213" s="14">
        <f>B211*B212</f>
        <v>6236777.25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2" t="s">
        <v>93</v>
      </c>
      <c r="B215" s="18">
        <f>B213*(1+0.075)^5</f>
        <v>8953700.3209015783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>
      <c r="A216" s="1" t="s">
        <v>94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 t="s">
        <v>95</v>
      </c>
      <c r="B218" s="15">
        <f>B213/(1+0.1)^5</f>
        <v>3872547.981695238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 t="s">
        <v>96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Julia Freybote</cp:lastModifiedBy>
  <dcterms:created xsi:type="dcterms:W3CDTF">2017-10-02T18:45:13Z</dcterms:created>
  <dcterms:modified xsi:type="dcterms:W3CDTF">2017-10-12T19:17:48Z</dcterms:modified>
</cp:coreProperties>
</file>